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4/"/>
    </mc:Choice>
  </mc:AlternateContent>
  <xr:revisionPtr revIDLastSave="2461" documentId="13_ncr:1_{1895015C-587D-468A-948F-D0518A5A84EB}" xr6:coauthVersionLast="47" xr6:coauthVersionMax="47" xr10:uidLastSave="{23D900B5-CC40-4500-8BE2-2681D100990C}"/>
  <bookViews>
    <workbookView xWindow="-98" yWindow="-98" windowWidth="23236" windowHeight="13875" tabRatio="721" xr2:uid="{00000000-000D-0000-FFFF-FFFF00000000}"/>
  </bookViews>
  <sheets>
    <sheet name="BLC IPACOOP" sheetId="5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56" l="1"/>
  <c r="K8" i="56"/>
  <c r="J53" i="56" l="1"/>
  <c r="J52" i="56"/>
  <c r="L25" i="56" l="1"/>
  <c r="J47" i="56" l="1"/>
  <c r="K9" i="56"/>
  <c r="L9" i="56"/>
  <c r="K10" i="56"/>
  <c r="L10" i="56"/>
  <c r="K11" i="56"/>
  <c r="L11" i="56"/>
  <c r="K12" i="56"/>
  <c r="K13" i="56"/>
  <c r="K18" i="56"/>
  <c r="L18" i="56"/>
  <c r="K19" i="56"/>
  <c r="L19" i="56"/>
  <c r="K20" i="56"/>
  <c r="L20" i="56"/>
  <c r="K25" i="56"/>
  <c r="K26" i="56"/>
  <c r="K27" i="56"/>
  <c r="L27" i="56"/>
  <c r="K28" i="56"/>
  <c r="L28" i="56"/>
  <c r="K29" i="56"/>
  <c r="L29" i="56"/>
  <c r="L8" i="56"/>
  <c r="J30" i="56" l="1"/>
  <c r="J21" i="56"/>
  <c r="J14" i="56"/>
  <c r="J46" i="56" l="1"/>
  <c r="J32" i="56"/>
  <c r="J50" i="56"/>
  <c r="J49" i="56"/>
  <c r="I47" i="56" l="1"/>
  <c r="I30" i="56" l="1"/>
  <c r="H29" i="56"/>
  <c r="G29" i="56"/>
  <c r="N29" i="56" s="1"/>
  <c r="O29" i="56" s="1"/>
  <c r="F29" i="56"/>
  <c r="D29" i="56"/>
  <c r="C29" i="56"/>
  <c r="H28" i="56"/>
  <c r="G28" i="56"/>
  <c r="F28" i="56"/>
  <c r="E28" i="56"/>
  <c r="E30" i="56" s="1"/>
  <c r="D28" i="56"/>
  <c r="C28" i="56"/>
  <c r="H27" i="56"/>
  <c r="G27" i="56"/>
  <c r="F27" i="56"/>
  <c r="E27" i="56"/>
  <c r="D27" i="56"/>
  <c r="C27" i="56"/>
  <c r="O26" i="56"/>
  <c r="N26" i="56"/>
  <c r="H25" i="56"/>
  <c r="G25" i="56"/>
  <c r="F25" i="56"/>
  <c r="D25" i="56"/>
  <c r="C25" i="56"/>
  <c r="I21" i="56"/>
  <c r="H20" i="56"/>
  <c r="G20" i="56"/>
  <c r="F20" i="56"/>
  <c r="E20" i="56"/>
  <c r="D20" i="56"/>
  <c r="C20" i="56"/>
  <c r="H19" i="56"/>
  <c r="G19" i="56"/>
  <c r="F19" i="56"/>
  <c r="E19" i="56"/>
  <c r="D19" i="56"/>
  <c r="C19" i="56"/>
  <c r="H18" i="56"/>
  <c r="G18" i="56"/>
  <c r="F18" i="56"/>
  <c r="E18" i="56"/>
  <c r="D18" i="56"/>
  <c r="C18" i="56"/>
  <c r="I14" i="56"/>
  <c r="H13" i="56"/>
  <c r="G13" i="56"/>
  <c r="F13" i="56"/>
  <c r="E13" i="56"/>
  <c r="D13" i="56"/>
  <c r="C13" i="56"/>
  <c r="N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K14" i="56" l="1"/>
  <c r="L14" i="56"/>
  <c r="K21" i="56"/>
  <c r="L21" i="56"/>
  <c r="K30" i="56"/>
  <c r="L30" i="56"/>
  <c r="E21" i="56"/>
  <c r="G21" i="56"/>
  <c r="N18" i="56"/>
  <c r="O18" i="56" s="1"/>
  <c r="E32" i="56"/>
  <c r="C30" i="56"/>
  <c r="E50" i="56"/>
  <c r="E47" i="56"/>
  <c r="H47" i="56"/>
  <c r="I49" i="56"/>
  <c r="I53" i="56"/>
  <c r="I50" i="56"/>
  <c r="N28" i="56"/>
  <c r="O28" i="56" s="1"/>
  <c r="N25" i="56"/>
  <c r="O25" i="56" s="1"/>
  <c r="F47" i="56"/>
  <c r="G47" i="56"/>
  <c r="I52" i="56"/>
  <c r="I46" i="56"/>
  <c r="H30" i="56"/>
  <c r="I32" i="56"/>
  <c r="D30" i="56"/>
  <c r="N13" i="56"/>
  <c r="O13" i="56" s="1"/>
  <c r="C47" i="56"/>
  <c r="N10" i="56"/>
  <c r="O10" i="56" s="1"/>
  <c r="D47" i="56"/>
  <c r="C53" i="56"/>
  <c r="E53" i="56"/>
  <c r="N11" i="56"/>
  <c r="O11" i="56" s="1"/>
  <c r="C21" i="56"/>
  <c r="F30" i="56"/>
  <c r="F53" i="56" s="1"/>
  <c r="N9" i="56"/>
  <c r="O9" i="56" s="1"/>
  <c r="F14" i="56"/>
  <c r="F46" i="56" s="1"/>
  <c r="G30" i="56"/>
  <c r="G53" i="56" s="1"/>
  <c r="G14" i="56"/>
  <c r="N20" i="56"/>
  <c r="O20" i="56" s="1"/>
  <c r="C14" i="56"/>
  <c r="C52" i="56" s="1"/>
  <c r="D14" i="56"/>
  <c r="D46" i="56" s="1"/>
  <c r="E14" i="56"/>
  <c r="E52" i="56" s="1"/>
  <c r="H14" i="56"/>
  <c r="D21" i="56"/>
  <c r="F21" i="56"/>
  <c r="N19" i="56"/>
  <c r="O19" i="56" s="1"/>
  <c r="N27" i="56"/>
  <c r="O27" i="56" s="1"/>
  <c r="H21" i="56"/>
  <c r="N8" i="56"/>
  <c r="O8" i="56" s="1"/>
  <c r="L32" i="56" l="1"/>
  <c r="K32" i="56"/>
  <c r="H32" i="56"/>
  <c r="C46" i="56"/>
  <c r="C32" i="56"/>
  <c r="D32" i="56"/>
  <c r="F32" i="56"/>
  <c r="F52" i="56"/>
  <c r="E46" i="56"/>
  <c r="D52" i="56"/>
  <c r="H49" i="56"/>
  <c r="H50" i="56"/>
  <c r="E49" i="56"/>
  <c r="H52" i="56"/>
  <c r="F50" i="56"/>
  <c r="F49" i="56"/>
  <c r="N21" i="56"/>
  <c r="O21" i="56" s="1"/>
  <c r="H53" i="56"/>
  <c r="D50" i="56"/>
  <c r="D49" i="56"/>
  <c r="D53" i="56"/>
  <c r="H46" i="56"/>
  <c r="N14" i="56"/>
  <c r="O14" i="56" s="1"/>
  <c r="N30" i="56"/>
  <c r="O30" i="56" s="1"/>
  <c r="G49" i="56"/>
  <c r="G50" i="56"/>
  <c r="G52" i="56"/>
  <c r="G46" i="56"/>
  <c r="C50" i="56"/>
  <c r="C49" i="56"/>
  <c r="G32" i="56"/>
  <c r="N32" i="56" l="1"/>
  <c r="O32" i="56" s="1"/>
</calcChain>
</file>

<file path=xl/sharedStrings.xml><?xml version="1.0" encoding="utf-8"?>
<sst xmlns="http://schemas.openxmlformats.org/spreadsheetml/2006/main" count="49" uniqueCount="49">
  <si>
    <t>ACTIVOS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</si>
  <si>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</si>
  <si>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</si>
  <si>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</si>
  <si>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</si>
  <si>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</si>
  <si>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</si>
  <si>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CONSEJO DE COORDINACIÓN FINANCIERA</t>
  </si>
  <si>
    <t>Variación %</t>
  </si>
  <si>
    <t>LIQUIDEZ</t>
  </si>
  <si>
    <t>Efectivo + Depósitos/ Total de Activos</t>
  </si>
  <si>
    <t>Efectivo + Depósitos/ Total de Depósito o Obligaciones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</si>
  <si>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</si>
  <si>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</si>
  <si>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</si>
  <si>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</si>
  <si>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</si>
  <si>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</si>
  <si>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</si>
  <si>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</si>
  <si>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</si>
  <si>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</si>
  <si>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</si>
  <si>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</si>
  <si>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</si>
  <si>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</si>
  <si>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</si>
  <si>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</si>
  <si>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</si>
  <si>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</si>
  <si>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</si>
  <si>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</si>
  <si>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</si>
  <si>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</si>
  <si>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</si>
  <si>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</si>
  <si>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</si>
  <si>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</si>
  <si>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</si>
  <si>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</si>
  <si>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</si>
  <si>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</si>
  <si>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</si>
  <si>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2020 vs 2016</t>
  </si>
  <si>
    <t>L/C</t>
  </si>
  <si>
    <t>por verificar la formula</t>
  </si>
  <si>
    <t xml:space="preserve">Variación Absoluta </t>
  </si>
  <si>
    <t>Total IPACOOP Dic 2023</t>
  </si>
  <si>
    <t>Diciembre 202/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</si>
</sst>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6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horizontal="left" vertical="center" indent="2"/>
    </xf>
    <xf numFmtId="164" fontId="2" fillId="2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164" fontId="0" fillId="0" borderId="12" xfId="1" applyNumberFormat="1" applyFont="1" applyBorder="1" applyAlignment="1">
      <alignment vertic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2" fillId="0" borderId="8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left" vertical="center"/>
    </xf>
    <xf numFmtId="164" fontId="0" fillId="0" borderId="8" xfId="1" applyNumberFormat="1" applyFont="1" applyBorder="1" applyAlignment="1">
      <alignment horizontal="left" vertical="center" indent="2"/>
    </xf>
    <xf numFmtId="164" fontId="2" fillId="0" borderId="8" xfId="1" applyNumberFormat="1" applyFont="1" applyBorder="1" applyAlignment="1">
      <alignment vertical="center"/>
    </xf>
    <xf numFmtId="164" fontId="8" fillId="0" borderId="15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164" fontId="8" fillId="0" borderId="18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4" fontId="0" fillId="0" borderId="0" xfId="7" applyNumberFormat="1" applyFont="1" applyAlignment="1">
      <alignment vertical="center"/>
    </xf>
    <xf numFmtId="165" fontId="8" fillId="0" borderId="18" xfId="7" applyNumberFormat="1" applyFont="1" applyBorder="1" applyAlignment="1">
      <alignment horizontal="right" vertical="center"/>
    </xf>
    <xf numFmtId="165" fontId="9" fillId="0" borderId="14" xfId="7" applyNumberFormat="1" applyFont="1" applyFill="1" applyBorder="1"/>
    <xf numFmtId="165" fontId="8" fillId="0" borderId="14" xfId="7" applyNumberFormat="1" applyFont="1" applyBorder="1" applyAlignment="1">
      <alignment horizontal="right" vertical="center"/>
    </xf>
    <xf numFmtId="10" fontId="0" fillId="0" borderId="0" xfId="7" applyNumberFormat="1" applyFont="1" applyAlignment="1">
      <alignment vertical="center"/>
    </xf>
    <xf numFmtId="17" fontId="2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4" borderId="15" xfId="1" applyNumberFormat="1" applyFont="1" applyFill="1" applyBorder="1" applyAlignment="1">
      <alignment horizontal="center" vertical="center"/>
    </xf>
    <xf numFmtId="164" fontId="8" fillId="4" borderId="15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3" fontId="2" fillId="2" borderId="11" xfId="1" applyFont="1" applyFill="1" applyBorder="1" applyAlignment="1">
      <alignment horizontal="center" vertical="center" wrapText="1"/>
    </xf>
    <xf numFmtId="17" fontId="2" fillId="3" borderId="19" xfId="1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/>
    </xf>
    <xf numFmtId="9" fontId="0" fillId="5" borderId="3" xfId="7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2" xfId="7" applyNumberFormat="1" applyFont="1" applyBorder="1" applyAlignment="1">
      <alignment vertical="center"/>
    </xf>
    <xf numFmtId="9" fontId="0" fillId="0" borderId="2" xfId="7" applyFont="1" applyBorder="1" applyAlignment="1">
      <alignment vertical="center"/>
    </xf>
    <xf numFmtId="164" fontId="8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0" fillId="0" borderId="24" xfId="7" applyNumberFormat="1" applyFont="1" applyBorder="1" applyAlignment="1">
      <alignment vertical="center"/>
    </xf>
    <xf numFmtId="9" fontId="0" fillId="0" borderId="24" xfId="7" applyFont="1" applyBorder="1" applyAlignment="1">
      <alignment vertical="center"/>
    </xf>
    <xf numFmtId="164" fontId="8" fillId="4" borderId="18" xfId="1" applyNumberFormat="1" applyFont="1" applyFill="1" applyBorder="1" applyAlignment="1">
      <alignment horizontal="center" vertical="center"/>
    </xf>
    <xf numFmtId="164" fontId="0" fillId="0" borderId="25" xfId="7" applyNumberFormat="1" applyFont="1" applyBorder="1" applyAlignment="1">
      <alignment vertical="center"/>
    </xf>
    <xf numFmtId="9" fontId="0" fillId="0" borderId="26" xfId="7" applyFont="1" applyBorder="1" applyAlignment="1">
      <alignment vertical="center"/>
    </xf>
    <xf numFmtId="164" fontId="3" fillId="4" borderId="13" xfId="1" applyNumberFormat="1" applyFont="1" applyFill="1" applyBorder="1" applyAlignment="1">
      <alignment horizontal="center" vertical="center"/>
    </xf>
    <xf numFmtId="164" fontId="3" fillId="4" borderId="17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165" fontId="0" fillId="3" borderId="0" xfId="7" applyNumberFormat="1" applyFont="1" applyFill="1" applyAlignment="1">
      <alignment vertical="center"/>
    </xf>
    <xf numFmtId="164" fontId="8" fillId="0" borderId="25" xfId="1" applyNumberFormat="1" applyFont="1" applyBorder="1" applyAlignment="1">
      <alignment horizontal="center" vertical="center"/>
    </xf>
    <xf numFmtId="164" fontId="8" fillId="4" borderId="2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7" fontId="0" fillId="3" borderId="21" xfId="0" applyNumberForma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85D-2705-46AE-9867-6F36CFBC4C2E}">
  <dimension ref="B1:P53"/>
  <sheetViews>
    <sheetView tabSelected="1" workbookViewId="0">
      <selection activeCell="B5" sqref="B5"/>
    </sheetView>
  </sheetViews>
  <sheetFormatPr baseColWidth="10" defaultColWidth="11.46484375" defaultRowHeight="14.25" x14ac:dyDescent="0.45"/>
  <cols>
    <col min="1" max="1" width="1.53125" style="1" customWidth="1"/>
    <col min="2" max="2" width="36.73046875" style="1" bestFit="1" customWidth="1"/>
    <col min="3" max="3" width="17.73046875" style="1" hidden="1" customWidth="1"/>
    <col min="4" max="6" width="13.46484375" style="1" hidden="1" customWidth="1"/>
    <col min="7" max="7" width="13.46484375" style="1" customWidth="1"/>
    <col min="8" max="10" width="13.46484375" style="59" customWidth="1"/>
    <col min="11" max="11" width="14" style="1" bestFit="1" customWidth="1"/>
    <col min="12" max="12" width="11.265625" style="1" bestFit="1" customWidth="1"/>
    <col min="13" max="13" width="3" style="1" customWidth="1"/>
    <col min="14" max="14" width="13.265625" style="1" hidden="1" customWidth="1"/>
    <col min="15" max="15" width="0" style="31" hidden="1" customWidth="1"/>
    <col min="16" max="16384" width="11.46484375" style="1"/>
  </cols>
  <sheetData>
    <row r="1" spans="2:16" ht="18" x14ac:dyDescent="0.45">
      <c r="B1" s="65" t="s">
        <v>7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6" ht="18" x14ac:dyDescent="0.45">
      <c r="B2" s="65" t="s">
        <v>17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6" ht="18" x14ac:dyDescent="0.45">
      <c r="B3" s="65" t="s">
        <v>18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6" ht="18" x14ac:dyDescent="0.45">
      <c r="B4" s="65" t="s">
        <v>48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38"/>
    </row>
    <row r="5" spans="2:16" ht="18" x14ac:dyDescent="0.45">
      <c r="B5" s="8"/>
      <c r="C5" s="8"/>
      <c r="D5" s="8"/>
      <c r="E5" s="8"/>
      <c r="F5" s="8"/>
      <c r="G5" s="8"/>
      <c r="H5" s="42"/>
      <c r="I5" s="42"/>
      <c r="J5" s="42"/>
      <c r="K5" s="8"/>
      <c r="L5" s="8"/>
    </row>
    <row r="6" spans="2:16" ht="28.5" x14ac:dyDescent="0.45">
      <c r="B6" s="6" t="s">
        <v>0</v>
      </c>
      <c r="C6" s="27" t="s">
        <v>36</v>
      </c>
      <c r="D6" s="27" t="s">
        <v>37</v>
      </c>
      <c r="E6" s="27" t="s">
        <v>38</v>
      </c>
      <c r="F6" s="27" t="s">
        <v>39</v>
      </c>
      <c r="G6" s="27" t="s">
        <v>40</v>
      </c>
      <c r="H6" s="43" t="s">
        <v>41</v>
      </c>
      <c r="I6" s="43" t="s">
        <v>42</v>
      </c>
      <c r="J6" s="43" t="s">
        <v>47</v>
      </c>
      <c r="K6" s="44" t="s">
        <v>46</v>
      </c>
      <c r="L6" s="37" t="s">
        <v>8</v>
      </c>
      <c r="N6" s="45" t="s">
        <v>43</v>
      </c>
      <c r="O6" s="46" t="s">
        <v>44</v>
      </c>
    </row>
    <row r="7" spans="2:16" x14ac:dyDescent="0.4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6" x14ac:dyDescent="0.4">
      <c r="B8" s="11" t="s">
        <v>2</v>
      </c>
      <c r="C8" s="13">
        <f>(160447523+6058489)/1000000</f>
        <v>166.506012</v>
      </c>
      <c r="D8" s="13">
        <f>(161317716+6325576)/1000000</f>
        <v>167.643292</v>
      </c>
      <c r="E8" s="13">
        <f>(132031099+4923233)/1000000</f>
        <v>136.95433199999999</v>
      </c>
      <c r="F8" s="13">
        <f>(187457274+5038250)/1000000</f>
        <v>192.49552399999999</v>
      </c>
      <c r="G8" s="13">
        <f>(242340853+5518465)/1000000</f>
        <v>247.859318</v>
      </c>
      <c r="H8" s="13">
        <f>(277593328+3395177)/1000000</f>
        <v>280.98850499999998</v>
      </c>
      <c r="I8" s="13">
        <v>202</v>
      </c>
      <c r="J8" s="13">
        <v>100</v>
      </c>
      <c r="K8" s="13">
        <f>+J8-I8</f>
        <v>-102</v>
      </c>
      <c r="L8" s="34">
        <f>+J8/I8-1</f>
        <v>-0.50495049504950495</v>
      </c>
      <c r="M8" s="32"/>
      <c r="N8" s="32">
        <f t="shared" ref="N8:N14" si="0">+G8-C8</f>
        <v>81.353306000000003</v>
      </c>
      <c r="O8" s="31">
        <f>N8/C8</f>
        <v>0.48859080235493241</v>
      </c>
      <c r="P8" s="47"/>
    </row>
    <row r="9" spans="2:16" x14ac:dyDescent="0.4">
      <c r="B9" s="11" t="s">
        <v>3</v>
      </c>
      <c r="C9" s="13">
        <f>175190869/1000000</f>
        <v>175.19086899999999</v>
      </c>
      <c r="D9" s="13">
        <f>185358680/1000000</f>
        <v>185.35867999999999</v>
      </c>
      <c r="E9" s="13">
        <f>(178316705)/1000000</f>
        <v>178.31670500000001</v>
      </c>
      <c r="F9" s="13">
        <f>189811663/1000000</f>
        <v>189.81166300000001</v>
      </c>
      <c r="G9" s="13">
        <f>204328222/1000000</f>
        <v>204.32822200000001</v>
      </c>
      <c r="H9" s="13">
        <f>131454664/1000000</f>
        <v>131.45466400000001</v>
      </c>
      <c r="I9" s="13">
        <v>254</v>
      </c>
      <c r="J9" s="13">
        <v>152</v>
      </c>
      <c r="K9" s="13">
        <f t="shared" ref="K9:K30" si="1">+J9-I9</f>
        <v>-102</v>
      </c>
      <c r="L9" s="34">
        <f t="shared" ref="L9:L30" si="2">+J9/I9-1</f>
        <v>-0.40157480314960625</v>
      </c>
      <c r="N9" s="32">
        <f t="shared" si="0"/>
        <v>29.137353000000019</v>
      </c>
      <c r="O9" s="31">
        <f>N9/C9</f>
        <v>0.16631776054492897</v>
      </c>
      <c r="P9" s="47"/>
    </row>
    <row r="10" spans="2:16" x14ac:dyDescent="0.45">
      <c r="B10" s="11" t="s">
        <v>35</v>
      </c>
      <c r="C10" s="13">
        <f>(386421868+956708752+77090741)/1000000</f>
        <v>1420.2213609999999</v>
      </c>
      <c r="D10" s="13">
        <f>(1244726865+200408925+80062392)/1000000</f>
        <v>1525.1981820000001</v>
      </c>
      <c r="E10" s="13">
        <f>(1102576292+378734333+85220724)/1000000</f>
        <v>1566.5313490000001</v>
      </c>
      <c r="F10" s="13">
        <f>(1152292847+354193585+95760697)/1000000</f>
        <v>1602.2471290000001</v>
      </c>
      <c r="G10" s="13">
        <f>(846404702+635961244+85599960)/1000000</f>
        <v>1567.9659059999999</v>
      </c>
      <c r="H10" s="13">
        <f>(475079795+849520068+53365363)/1000000</f>
        <v>1377.965226</v>
      </c>
      <c r="I10" s="13">
        <v>1560</v>
      </c>
      <c r="J10" s="13">
        <v>993</v>
      </c>
      <c r="K10" s="13">
        <f t="shared" si="1"/>
        <v>-567</v>
      </c>
      <c r="L10" s="13">
        <f t="shared" si="2"/>
        <v>-0.3634615384615385</v>
      </c>
      <c r="N10" s="32">
        <f t="shared" si="0"/>
        <v>147.74454500000002</v>
      </c>
      <c r="O10" s="31">
        <f>N10/C10</f>
        <v>0.10402923731267553</v>
      </c>
    </row>
    <row r="11" spans="2:16" x14ac:dyDescent="0.4">
      <c r="B11" s="11" t="s">
        <v>4</v>
      </c>
      <c r="C11" s="13">
        <f>(1073646+67033064)/1000000</f>
        <v>68.106710000000007</v>
      </c>
      <c r="D11" s="13">
        <f>(720155+56936490)/1000000</f>
        <v>57.656644999999997</v>
      </c>
      <c r="E11" s="13">
        <f>(107976+80004113)/1000000</f>
        <v>80.112088999999997</v>
      </c>
      <c r="F11" s="13">
        <f>(281665+69062038)/1000000</f>
        <v>69.343703000000005</v>
      </c>
      <c r="G11" s="13">
        <f>(446076+78592119)/1000000</f>
        <v>79.038195000000002</v>
      </c>
      <c r="H11" s="13">
        <f>(430996+73241426)/1000000</f>
        <v>73.672421999999997</v>
      </c>
      <c r="I11" s="13">
        <v>90</v>
      </c>
      <c r="J11" s="13">
        <v>86</v>
      </c>
      <c r="K11" s="13">
        <f t="shared" si="1"/>
        <v>-4</v>
      </c>
      <c r="L11" s="34">
        <f t="shared" si="2"/>
        <v>-4.4444444444444398E-2</v>
      </c>
      <c r="N11" s="32">
        <f t="shared" si="0"/>
        <v>10.931484999999995</v>
      </c>
      <c r="O11" s="31">
        <f>N11/C11</f>
        <v>0.1605052571178375</v>
      </c>
    </row>
    <row r="12" spans="2:16" x14ac:dyDescent="0.45">
      <c r="B12" s="11" t="s">
        <v>19</v>
      </c>
      <c r="C12" s="13"/>
      <c r="D12" s="13"/>
      <c r="E12" s="13"/>
      <c r="F12" s="13"/>
      <c r="G12" s="13"/>
      <c r="H12" s="13"/>
      <c r="I12" s="13"/>
      <c r="J12" s="13">
        <v>0</v>
      </c>
      <c r="K12" s="13">
        <f t="shared" si="1"/>
        <v>0</v>
      </c>
      <c r="L12" s="12">
        <v>0</v>
      </c>
      <c r="N12" s="32">
        <f t="shared" si="0"/>
        <v>0</v>
      </c>
      <c r="O12" s="28">
        <v>0</v>
      </c>
    </row>
    <row r="13" spans="2:16" x14ac:dyDescent="0.4">
      <c r="B13" s="11" t="s">
        <v>5</v>
      </c>
      <c r="C13" s="13">
        <f>(25583596+56603799+66421226+22728357+14127621+1439209)/1000000</f>
        <v>186.903808</v>
      </c>
      <c r="D13" s="13">
        <f>(20812951+64427641+72858725+32249316+20152593+1842521)/1000000</f>
        <v>212.34374700000001</v>
      </c>
      <c r="E13" s="13">
        <f>(32782954+72921916+81683293+42583405+19869387+1524491)/1000000</f>
        <v>251.36544599999999</v>
      </c>
      <c r="F13" s="13">
        <f>(20772359+1491926+60365011+79793844+36595995+56594705)/1000000</f>
        <v>255.61384000000001</v>
      </c>
      <c r="G13" s="13">
        <f>(1218096+19369221+45086398+63136117+89792032+41339545)/1000000</f>
        <v>259.94140900000002</v>
      </c>
      <c r="H13" s="13">
        <f>(668802+11183303+31105339+65235544+69389897+65358114)/1000000</f>
        <v>242.94099900000001</v>
      </c>
      <c r="I13" s="13">
        <v>329</v>
      </c>
      <c r="J13" s="13">
        <v>325</v>
      </c>
      <c r="K13" s="13">
        <f t="shared" si="1"/>
        <v>-4</v>
      </c>
      <c r="L13" s="34">
        <f>+J13/I13-1</f>
        <v>-1.2158054711246202E-2</v>
      </c>
      <c r="N13" s="48">
        <f t="shared" si="0"/>
        <v>73.037601000000024</v>
      </c>
      <c r="O13" s="49">
        <f>N13/C13</f>
        <v>0.39077642013585956</v>
      </c>
    </row>
    <row r="14" spans="2:16" s="17" customFormat="1" ht="14.65" thickBot="1" x14ac:dyDescent="0.5">
      <c r="B14" s="15" t="s">
        <v>20</v>
      </c>
      <c r="C14" s="29">
        <f>SUM(C8:C13)</f>
        <v>2016.9287599999998</v>
      </c>
      <c r="D14" s="29">
        <f t="shared" ref="D14:H14" si="3">SUM(D8:D13)</f>
        <v>2148.200546</v>
      </c>
      <c r="E14" s="29">
        <f t="shared" si="3"/>
        <v>2213.2799209999998</v>
      </c>
      <c r="F14" s="29">
        <f t="shared" si="3"/>
        <v>2309.5118590000002</v>
      </c>
      <c r="G14" s="50">
        <f t="shared" si="3"/>
        <v>2359.1330499999999</v>
      </c>
      <c r="H14" s="50">
        <f t="shared" si="3"/>
        <v>2107.0218159999999</v>
      </c>
      <c r="I14" s="50">
        <f>SUM(I8:I13)</f>
        <v>2435</v>
      </c>
      <c r="J14" s="63">
        <f>SUM(J8:J13)</f>
        <v>1656</v>
      </c>
      <c r="K14" s="51">
        <f t="shared" si="1"/>
        <v>-779</v>
      </c>
      <c r="L14" s="33">
        <f t="shared" si="2"/>
        <v>-0.31991786447638604</v>
      </c>
      <c r="N14" s="52">
        <f t="shared" si="0"/>
        <v>342.20429000000013</v>
      </c>
      <c r="O14" s="53">
        <f>N14/C14</f>
        <v>0.16966602727207886</v>
      </c>
    </row>
    <row r="15" spans="2:16" ht="14.65" thickTop="1" x14ac:dyDescent="0.45"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2:16" x14ac:dyDescent="0.45">
      <c r="B16" s="6" t="s">
        <v>21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2:15" x14ac:dyDescent="0.45"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5" x14ac:dyDescent="0.4">
      <c r="B18" s="11" t="s">
        <v>6</v>
      </c>
      <c r="C18" s="13">
        <f>(384091644+844498841)/1000000</f>
        <v>1228.5904849999999</v>
      </c>
      <c r="D18" s="13">
        <f>(438661961+753557254)/1000000</f>
        <v>1192.2192150000001</v>
      </c>
      <c r="E18" s="13">
        <f>(229659129+979820076)/1000000</f>
        <v>1209.4792050000001</v>
      </c>
      <c r="F18" s="13">
        <f>(193761031+1068846495)/1000000</f>
        <v>1262.607526</v>
      </c>
      <c r="G18" s="13">
        <f>(169318608+1139417619)/1000000</f>
        <v>1308.7362270000001</v>
      </c>
      <c r="H18" s="13">
        <f>(419497219+816778133)/1000000</f>
        <v>1236.2753520000001</v>
      </c>
      <c r="I18" s="13">
        <v>1508</v>
      </c>
      <c r="J18" s="13">
        <v>961</v>
      </c>
      <c r="K18" s="13">
        <f t="shared" si="1"/>
        <v>-547</v>
      </c>
      <c r="L18" s="34">
        <f t="shared" si="2"/>
        <v>-0.36273209549071617</v>
      </c>
      <c r="N18" s="32">
        <f>+G18-C18</f>
        <v>80.145742000000155</v>
      </c>
      <c r="O18" s="31">
        <f>N18/C18</f>
        <v>6.523389443309921E-2</v>
      </c>
    </row>
    <row r="19" spans="2:15" x14ac:dyDescent="0.4">
      <c r="B19" s="11" t="s">
        <v>22</v>
      </c>
      <c r="C19" s="13">
        <f>(132502983+137124383+746760+8561463)/1000000</f>
        <v>278.93558899999999</v>
      </c>
      <c r="D19" s="13">
        <f>(240018211+88347775+92940+13098078)/1000000</f>
        <v>341.55700400000001</v>
      </c>
      <c r="E19" s="13">
        <f>(251329772+95393844+2977+34396066)/1000000</f>
        <v>381.122659</v>
      </c>
      <c r="F19" s="13">
        <f>(186238560+171573965+29397541)/1000000</f>
        <v>387.21006599999998</v>
      </c>
      <c r="G19" s="13">
        <f>(263355093+86212634+1059343+39310635)/1000000</f>
        <v>389.93770499999999</v>
      </c>
      <c r="H19" s="13">
        <f>(191163463+95586593+583356+29876237)/1000000</f>
        <v>317.20964900000001</v>
      </c>
      <c r="I19" s="13">
        <v>290</v>
      </c>
      <c r="J19" s="13">
        <v>288</v>
      </c>
      <c r="K19" s="13">
        <f t="shared" si="1"/>
        <v>-2</v>
      </c>
      <c r="L19" s="34">
        <f t="shared" si="2"/>
        <v>-6.8965517241379448E-3</v>
      </c>
      <c r="N19" s="32">
        <f>+G19-C19</f>
        <v>111.002116</v>
      </c>
      <c r="O19" s="31">
        <f>N19/C19</f>
        <v>0.39794891859424936</v>
      </c>
    </row>
    <row r="20" spans="2:15" x14ac:dyDescent="0.4">
      <c r="B20" s="11" t="s">
        <v>23</v>
      </c>
      <c r="C20" s="13">
        <f>(20873243+22622077)/1000000</f>
        <v>43.49532</v>
      </c>
      <c r="D20" s="13">
        <f>(33555224+81566320)/1000000</f>
        <v>115.121544</v>
      </c>
      <c r="E20" s="13">
        <f>(23630743+77349047)/1000000</f>
        <v>100.97978999999999</v>
      </c>
      <c r="F20" s="13">
        <f>(31086358+73170516)/1000000</f>
        <v>104.256874</v>
      </c>
      <c r="G20" s="13">
        <f>(78512721+16314457)/1000000</f>
        <v>94.827178000000004</v>
      </c>
      <c r="H20" s="13">
        <f>(82621791+5837612)/1000000</f>
        <v>88.459402999999995</v>
      </c>
      <c r="I20" s="13">
        <v>61</v>
      </c>
      <c r="J20" s="13">
        <v>45</v>
      </c>
      <c r="K20" s="13">
        <f t="shared" si="1"/>
        <v>-16</v>
      </c>
      <c r="L20" s="34">
        <f t="shared" si="2"/>
        <v>-0.26229508196721307</v>
      </c>
      <c r="N20" s="48">
        <f>+G20-C20</f>
        <v>51.331858000000004</v>
      </c>
      <c r="O20" s="49">
        <f>N20/C20</f>
        <v>1.1801696826233261</v>
      </c>
    </row>
    <row r="21" spans="2:15" s="17" customFormat="1" ht="14.65" thickBot="1" x14ac:dyDescent="0.5">
      <c r="B21" s="15" t="s">
        <v>24</v>
      </c>
      <c r="C21" s="29">
        <f t="shared" ref="C21:H21" si="4">SUM(C18:C20)</f>
        <v>1551.0213939999999</v>
      </c>
      <c r="D21" s="29">
        <f t="shared" si="4"/>
        <v>1648.8977630000002</v>
      </c>
      <c r="E21" s="29">
        <f t="shared" si="4"/>
        <v>1691.5816540000003</v>
      </c>
      <c r="F21" s="29">
        <f t="shared" si="4"/>
        <v>1754.0744659999998</v>
      </c>
      <c r="G21" s="50">
        <f t="shared" si="4"/>
        <v>1793.5011100000002</v>
      </c>
      <c r="H21" s="50">
        <f t="shared" si="4"/>
        <v>1641.9444040000001</v>
      </c>
      <c r="I21" s="54">
        <f>SUM(I18:I20)</f>
        <v>1859</v>
      </c>
      <c r="J21" s="64">
        <f>SUM(J18:J20)</f>
        <v>1294</v>
      </c>
      <c r="K21" s="50">
        <f t="shared" si="1"/>
        <v>-565</v>
      </c>
      <c r="L21" s="33">
        <f t="shared" si="2"/>
        <v>-0.30392684238838086</v>
      </c>
      <c r="N21" s="52">
        <f>+G21-C21</f>
        <v>242.47971600000028</v>
      </c>
      <c r="O21" s="53">
        <f>N21/C21</f>
        <v>0.15633550700075019</v>
      </c>
    </row>
    <row r="22" spans="2:15" ht="14.65" thickTop="1" x14ac:dyDescent="0.45">
      <c r="B22" s="11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2:15" x14ac:dyDescent="0.45">
      <c r="B23" s="6" t="s">
        <v>14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5" x14ac:dyDescent="0.45"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5" x14ac:dyDescent="0.4">
      <c r="B25" s="19" t="s">
        <v>25</v>
      </c>
      <c r="C25" s="13">
        <f>(280056297+8347985)/1000000</f>
        <v>288.40428200000002</v>
      </c>
      <c r="D25" s="13">
        <f>(310388393+28833859)/1000000</f>
        <v>339.22225200000003</v>
      </c>
      <c r="E25" s="13">
        <v>334</v>
      </c>
      <c r="F25" s="13">
        <f>(390853127+6927567)/1000000</f>
        <v>397.78069399999998</v>
      </c>
      <c r="G25" s="13">
        <f>(339471903+7202726)/1000000</f>
        <v>346.67462899999998</v>
      </c>
      <c r="H25" s="13">
        <f>(254476792+4242287)/1000000</f>
        <v>258.71907900000002</v>
      </c>
      <c r="I25" s="13">
        <v>331</v>
      </c>
      <c r="J25" s="13">
        <v>201</v>
      </c>
      <c r="K25" s="13">
        <f t="shared" si="1"/>
        <v>-130</v>
      </c>
      <c r="L25" s="34">
        <f>+J25/I25-1</f>
        <v>-0.39274924471299089</v>
      </c>
      <c r="N25" s="32">
        <f>+G25-C25</f>
        <v>58.270346999999958</v>
      </c>
      <c r="O25" s="31">
        <f>N25/C25</f>
        <v>0.20204397311964997</v>
      </c>
    </row>
    <row r="26" spans="2:15" x14ac:dyDescent="0.4">
      <c r="B26" s="19" t="s">
        <v>26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1"/>
        <v>0</v>
      </c>
      <c r="L26" s="34">
        <v>0</v>
      </c>
      <c r="N26" s="32">
        <f>+G26-C26</f>
        <v>0</v>
      </c>
      <c r="O26" s="32">
        <f>+H26-D26</f>
        <v>0</v>
      </c>
    </row>
    <row r="27" spans="2:15" x14ac:dyDescent="0.4">
      <c r="B27" s="19" t="s">
        <v>27</v>
      </c>
      <c r="C27" s="13">
        <f>114635918/1000000</f>
        <v>114.635918</v>
      </c>
      <c r="D27" s="13">
        <f>100828405/1000000</f>
        <v>100.828405</v>
      </c>
      <c r="E27" s="13">
        <f>121929159/1000000</f>
        <v>121.929159</v>
      </c>
      <c r="F27" s="13">
        <f>97473824/1000000</f>
        <v>97.473823999999993</v>
      </c>
      <c r="G27" s="13">
        <f>126357341/1000000</f>
        <v>126.35734100000001</v>
      </c>
      <c r="H27" s="13">
        <f>116839738/1000000</f>
        <v>116.839738</v>
      </c>
      <c r="I27" s="13">
        <v>143</v>
      </c>
      <c r="J27" s="13">
        <v>81</v>
      </c>
      <c r="K27" s="13">
        <f t="shared" si="1"/>
        <v>-62</v>
      </c>
      <c r="L27" s="34">
        <f t="shared" si="2"/>
        <v>-0.43356643356643354</v>
      </c>
      <c r="N27" s="32">
        <f>+G27-C27</f>
        <v>11.721423000000001</v>
      </c>
      <c r="O27" s="31">
        <f>N27/C27</f>
        <v>0.1022491310271533</v>
      </c>
    </row>
    <row r="28" spans="2:15" x14ac:dyDescent="0.4">
      <c r="B28" s="19" t="s">
        <v>28</v>
      </c>
      <c r="C28" s="13">
        <f>48852928/1000000</f>
        <v>48.852927999999999</v>
      </c>
      <c r="D28" s="13">
        <f>46384162/1000000</f>
        <v>46.384162000000003</v>
      </c>
      <c r="E28" s="13">
        <f>56344268/1000000</f>
        <v>56.344268</v>
      </c>
      <c r="F28" s="13">
        <f>47141783/1000000</f>
        <v>47.141782999999997</v>
      </c>
      <c r="G28" s="13">
        <f>59421452/1000000</f>
        <v>59.421452000000002</v>
      </c>
      <c r="H28" s="13">
        <f>63857000/1000000</f>
        <v>63.856999999999999</v>
      </c>
      <c r="I28" s="13">
        <v>65</v>
      </c>
      <c r="J28" s="13">
        <v>56</v>
      </c>
      <c r="K28" s="13">
        <f t="shared" si="1"/>
        <v>-9</v>
      </c>
      <c r="L28" s="34">
        <f t="shared" si="2"/>
        <v>-0.13846153846153841</v>
      </c>
      <c r="N28" s="32">
        <f t="shared" ref="N28:N32" si="5">+G28-C28</f>
        <v>10.568524000000004</v>
      </c>
      <c r="O28" s="49">
        <f t="shared" ref="O28:O32" si="6">N28/C28</f>
        <v>0.21633348158783858</v>
      </c>
    </row>
    <row r="29" spans="2:15" ht="14.65" thickBot="1" x14ac:dyDescent="0.45">
      <c r="B29" s="20" t="s">
        <v>29</v>
      </c>
      <c r="C29" s="13">
        <f>14014238/1000000</f>
        <v>14.014238000000001</v>
      </c>
      <c r="D29" s="13">
        <f>12867964/1000000</f>
        <v>12.867964000000001</v>
      </c>
      <c r="E29" s="13">
        <v>9</v>
      </c>
      <c r="F29" s="13">
        <f>13041092/1000000</f>
        <v>13.041092000000001</v>
      </c>
      <c r="G29" s="13">
        <f>33168519/1000000</f>
        <v>33.168519000000003</v>
      </c>
      <c r="H29" s="13">
        <f>25661595/1000000</f>
        <v>25.661594999999998</v>
      </c>
      <c r="I29" s="13">
        <v>36</v>
      </c>
      <c r="J29" s="13">
        <v>25</v>
      </c>
      <c r="K29" s="13">
        <f t="shared" si="1"/>
        <v>-11</v>
      </c>
      <c r="L29" s="34">
        <f t="shared" si="2"/>
        <v>-0.30555555555555558</v>
      </c>
      <c r="N29" s="55">
        <f t="shared" si="5"/>
        <v>19.154281000000005</v>
      </c>
      <c r="O29" s="53">
        <f t="shared" si="6"/>
        <v>1.3667729205112689</v>
      </c>
    </row>
    <row r="30" spans="2:15" s="17" customFormat="1" ht="15" thickTop="1" thickBot="1" x14ac:dyDescent="0.5">
      <c r="B30" s="15" t="s">
        <v>30</v>
      </c>
      <c r="C30" s="29">
        <f t="shared" ref="C30:I30" si="7">SUM(C25:C29)</f>
        <v>465.90736600000002</v>
      </c>
      <c r="D30" s="29">
        <f t="shared" si="7"/>
        <v>499.30278299999998</v>
      </c>
      <c r="E30" s="29">
        <f t="shared" si="7"/>
        <v>521.27342700000008</v>
      </c>
      <c r="F30" s="29">
        <f t="shared" si="7"/>
        <v>555.43739300000004</v>
      </c>
      <c r="G30" s="50">
        <f t="shared" si="7"/>
        <v>565.62194100000011</v>
      </c>
      <c r="H30" s="50">
        <f t="shared" si="7"/>
        <v>465.07741200000004</v>
      </c>
      <c r="I30" s="50">
        <f t="shared" si="7"/>
        <v>575</v>
      </c>
      <c r="J30" s="50">
        <f t="shared" ref="J30" si="8">SUM(J25:J29)</f>
        <v>363</v>
      </c>
      <c r="K30" s="50">
        <f t="shared" si="1"/>
        <v>-212</v>
      </c>
      <c r="L30" s="33">
        <f t="shared" si="2"/>
        <v>-0.36869565217391309</v>
      </c>
      <c r="N30" s="52">
        <f t="shared" si="5"/>
        <v>99.714575000000082</v>
      </c>
      <c r="O30" s="56">
        <f t="shared" si="6"/>
        <v>0.21402231919209466</v>
      </c>
    </row>
    <row r="31" spans="2:15" ht="14.65" thickTop="1" x14ac:dyDescent="0.45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N31" s="32"/>
    </row>
    <row r="32" spans="2:15" s="17" customFormat="1" ht="14.65" thickBot="1" x14ac:dyDescent="0.5">
      <c r="B32" s="6" t="s">
        <v>31</v>
      </c>
      <c r="C32" s="29">
        <f>+C21+C30</f>
        <v>2016.9287599999998</v>
      </c>
      <c r="D32" s="29">
        <f t="shared" ref="D32:H32" si="9">+D21+D30</f>
        <v>2148.200546</v>
      </c>
      <c r="E32" s="29">
        <f t="shared" si="9"/>
        <v>2212.8550810000006</v>
      </c>
      <c r="F32" s="29">
        <f t="shared" si="9"/>
        <v>2309.5118589999997</v>
      </c>
      <c r="G32" s="50">
        <f t="shared" si="9"/>
        <v>2359.1230510000005</v>
      </c>
      <c r="H32" s="50">
        <f t="shared" si="9"/>
        <v>2107.0218159999999</v>
      </c>
      <c r="I32" s="50">
        <f>+I21+I30</f>
        <v>2434</v>
      </c>
      <c r="J32" s="50">
        <f>+J21+J30</f>
        <v>1657</v>
      </c>
      <c r="K32" s="50">
        <f>+J32-I32</f>
        <v>-777</v>
      </c>
      <c r="L32" s="33">
        <f>+J32/I32-1</f>
        <v>-0.31922760887428103</v>
      </c>
      <c r="N32" s="55">
        <f t="shared" si="5"/>
        <v>342.1942910000007</v>
      </c>
      <c r="O32" s="53">
        <f t="shared" si="6"/>
        <v>0.16966106973456055</v>
      </c>
    </row>
    <row r="33" spans="2:15" ht="14.65" thickTop="1" x14ac:dyDescent="0.45">
      <c r="B33" s="11"/>
      <c r="C33" s="13"/>
      <c r="D33" s="13"/>
      <c r="E33" s="13"/>
      <c r="F33" s="13"/>
      <c r="G33" s="13"/>
      <c r="H33" s="57"/>
      <c r="I33" s="57"/>
      <c r="J33" s="57"/>
      <c r="K33" s="39"/>
      <c r="L33" s="39"/>
    </row>
    <row r="34" spans="2:15" x14ac:dyDescent="0.45">
      <c r="B34" s="21" t="s">
        <v>32</v>
      </c>
      <c r="C34" s="22"/>
      <c r="D34" s="22"/>
      <c r="E34" s="22"/>
      <c r="F34" s="22"/>
      <c r="G34" s="22"/>
      <c r="H34" s="41"/>
      <c r="I34" s="41"/>
      <c r="J34" s="41"/>
      <c r="K34" s="16"/>
      <c r="L34" s="35"/>
    </row>
    <row r="35" spans="2:15" x14ac:dyDescent="0.4">
      <c r="B35" s="20" t="s">
        <v>33</v>
      </c>
      <c r="C35" s="13"/>
      <c r="D35" s="13"/>
      <c r="E35" s="13"/>
      <c r="F35" s="13"/>
      <c r="G35" s="13"/>
      <c r="H35" s="40"/>
      <c r="I35" s="40"/>
      <c r="J35" s="40"/>
      <c r="K35" s="12"/>
      <c r="L35" s="34"/>
    </row>
    <row r="36" spans="2:15" x14ac:dyDescent="0.4">
      <c r="B36" s="20" t="s">
        <v>1</v>
      </c>
      <c r="C36" s="13"/>
      <c r="D36" s="13"/>
      <c r="E36" s="13"/>
      <c r="F36" s="13"/>
      <c r="G36" s="13"/>
      <c r="H36" s="40"/>
      <c r="I36" s="40"/>
      <c r="J36" s="40"/>
      <c r="K36" s="12"/>
      <c r="L36" s="34"/>
    </row>
    <row r="37" spans="2:15" x14ac:dyDescent="0.45">
      <c r="B37" s="23"/>
      <c r="C37" s="25"/>
      <c r="D37" s="25"/>
      <c r="E37" s="25"/>
      <c r="F37" s="25"/>
      <c r="G37" s="25"/>
      <c r="H37" s="58"/>
      <c r="I37" s="58"/>
      <c r="J37" s="58"/>
      <c r="K37" s="24"/>
      <c r="L37" s="24"/>
    </row>
    <row r="38" spans="2:15" x14ac:dyDescent="0.45">
      <c r="K38" s="2"/>
      <c r="L38" s="2"/>
    </row>
    <row r="39" spans="2:15" x14ac:dyDescent="0.45">
      <c r="B39" s="26" t="s">
        <v>34</v>
      </c>
      <c r="C39" s="30"/>
      <c r="D39" s="30"/>
      <c r="E39" s="30"/>
      <c r="F39" s="30"/>
      <c r="G39" s="30"/>
      <c r="H39" s="60"/>
      <c r="I39" s="60"/>
      <c r="J39" s="60"/>
      <c r="K39" s="26"/>
      <c r="L39" s="26"/>
    </row>
    <row r="40" spans="2:15" x14ac:dyDescent="0.45">
      <c r="B40" s="26"/>
      <c r="C40" s="26"/>
      <c r="D40" s="26"/>
      <c r="E40" s="26"/>
      <c r="F40" s="26"/>
      <c r="G40" s="26"/>
      <c r="H40" s="61"/>
      <c r="I40" s="61"/>
      <c r="J40" s="61"/>
      <c r="K40" s="26"/>
      <c r="L40" s="26"/>
    </row>
    <row r="41" spans="2:15" x14ac:dyDescent="0.45">
      <c r="B41" s="26"/>
      <c r="C41" s="26"/>
      <c r="D41" s="26"/>
      <c r="E41" s="26"/>
      <c r="F41" s="26"/>
      <c r="G41" s="26"/>
      <c r="H41" s="61"/>
      <c r="I41" s="61"/>
      <c r="J41" s="61"/>
      <c r="K41" s="26"/>
      <c r="L41" s="26"/>
    </row>
    <row r="42" spans="2:15" x14ac:dyDescent="0.45">
      <c r="B42" s="26"/>
      <c r="C42" s="26"/>
      <c r="D42" s="26"/>
      <c r="E42" s="26"/>
      <c r="F42" s="26"/>
      <c r="G42" s="26"/>
      <c r="H42" s="61"/>
      <c r="I42" s="61"/>
      <c r="J42" s="61"/>
      <c r="K42" s="26"/>
      <c r="L42" s="26"/>
    </row>
    <row r="43" spans="2:15" x14ac:dyDescent="0.45">
      <c r="B43" s="66" t="s">
        <v>9</v>
      </c>
      <c r="C43" s="68">
        <v>42705</v>
      </c>
      <c r="D43" s="68">
        <v>43070</v>
      </c>
      <c r="E43" s="68">
        <v>43435</v>
      </c>
      <c r="F43" s="68">
        <v>43800</v>
      </c>
      <c r="G43" s="68">
        <v>44166</v>
      </c>
      <c r="H43" s="68">
        <v>44531</v>
      </c>
      <c r="I43" s="68">
        <v>44896</v>
      </c>
      <c r="J43" s="68">
        <v>45261</v>
      </c>
      <c r="O43" s="1"/>
    </row>
    <row r="44" spans="2:15" x14ac:dyDescent="0.45">
      <c r="B44" s="67"/>
      <c r="C44" s="68"/>
      <c r="D44" s="68"/>
      <c r="E44" s="68"/>
      <c r="F44" s="68"/>
      <c r="G44" s="68"/>
      <c r="H44" s="68"/>
      <c r="I44" s="68"/>
      <c r="J44" s="68"/>
      <c r="O44" s="1"/>
    </row>
    <row r="45" spans="2:15" x14ac:dyDescent="0.45">
      <c r="B45" s="3"/>
      <c r="C45" s="4"/>
      <c r="H45" s="1"/>
      <c r="I45" s="1"/>
      <c r="J45" s="1"/>
      <c r="O45" s="1"/>
    </row>
    <row r="46" spans="2:15" x14ac:dyDescent="0.45">
      <c r="B46" s="5" t="s">
        <v>10</v>
      </c>
      <c r="C46" s="14">
        <f>+(C8+C9)/C14</f>
        <v>0.16941445219909501</v>
      </c>
      <c r="D46" s="14">
        <f t="shared" ref="D46:H46" si="10">+(D8+D9)/D14</f>
        <v>0.16432449598679136</v>
      </c>
      <c r="E46" s="14">
        <f t="shared" si="10"/>
        <v>0.14244517108236127</v>
      </c>
      <c r="F46" s="14">
        <f t="shared" si="10"/>
        <v>0.16553592721776969</v>
      </c>
      <c r="G46" s="14">
        <f t="shared" si="10"/>
        <v>0.19167530207760008</v>
      </c>
      <c r="H46" s="14">
        <f t="shared" si="10"/>
        <v>0.19574698556419695</v>
      </c>
      <c r="I46" s="14">
        <f>+(I8+I9)/I14</f>
        <v>0.18726899383983572</v>
      </c>
      <c r="J46" s="14">
        <f>+(J8+J9)/J14</f>
        <v>0.15217391304347827</v>
      </c>
      <c r="O46" s="1"/>
    </row>
    <row r="47" spans="2:15" x14ac:dyDescent="0.45">
      <c r="B47" s="5" t="s">
        <v>11</v>
      </c>
      <c r="C47" s="14">
        <f>+(C8+C9)/C18</f>
        <v>0.27812105430720474</v>
      </c>
      <c r="D47" s="14">
        <f t="shared" ref="D47:I47" si="11">+(D8+D9)/D18</f>
        <v>0.29608814181039683</v>
      </c>
      <c r="E47" s="14">
        <f t="shared" si="11"/>
        <v>0.26066676938029698</v>
      </c>
      <c r="F47" s="14">
        <f t="shared" si="11"/>
        <v>0.30279178535484191</v>
      </c>
      <c r="G47" s="14">
        <f t="shared" si="11"/>
        <v>0.34551465044758783</v>
      </c>
      <c r="H47" s="14">
        <f t="shared" si="11"/>
        <v>0.33361756208498766</v>
      </c>
      <c r="I47" s="14">
        <f t="shared" si="11"/>
        <v>0.30238726790450926</v>
      </c>
      <c r="J47" s="14">
        <f t="shared" ref="J47" si="12">+(J8+J9)/J18</f>
        <v>0.26222684703433924</v>
      </c>
      <c r="O47" s="1"/>
    </row>
    <row r="48" spans="2:15" x14ac:dyDescent="0.45">
      <c r="H48" s="1"/>
      <c r="I48" s="1"/>
      <c r="J48" s="1"/>
      <c r="O48" s="1"/>
    </row>
    <row r="49" spans="2:15" x14ac:dyDescent="0.45">
      <c r="B49" s="5" t="s">
        <v>15</v>
      </c>
      <c r="C49" s="14">
        <f>+C30/C14</f>
        <v>0.23099842455516381</v>
      </c>
      <c r="D49" s="14">
        <f t="shared" ref="D49:H49" si="13">+D30/D14</f>
        <v>0.23242838473796756</v>
      </c>
      <c r="E49" s="14">
        <f t="shared" si="13"/>
        <v>0.23552078616629718</v>
      </c>
      <c r="F49" s="14">
        <f t="shared" si="13"/>
        <v>0.24049990946593361</v>
      </c>
      <c r="G49" s="14">
        <f t="shared" si="13"/>
        <v>0.23975838963385304</v>
      </c>
      <c r="H49" s="14">
        <f t="shared" si="13"/>
        <v>0.220727383299196</v>
      </c>
      <c r="I49" s="14">
        <f>+I30/I14</f>
        <v>0.23613963039014374</v>
      </c>
      <c r="J49" s="14">
        <f>+J30/J14</f>
        <v>0.21920289855072464</v>
      </c>
      <c r="O49" s="1"/>
    </row>
    <row r="50" spans="2:15" x14ac:dyDescent="0.45">
      <c r="B50" s="7" t="s">
        <v>16</v>
      </c>
      <c r="C50" s="14">
        <f>(C30/(C10+C11))</f>
        <v>0.31304077043105105</v>
      </c>
      <c r="D50" s="14">
        <f t="shared" ref="D50:I50" si="14">(D30/(D10+D11))</f>
        <v>0.31544445800271737</v>
      </c>
      <c r="E50" s="14">
        <f t="shared" si="14"/>
        <v>0.31656727556825209</v>
      </c>
      <c r="F50" s="14">
        <f t="shared" si="14"/>
        <v>0.33228071270015197</v>
      </c>
      <c r="G50" s="14">
        <f t="shared" si="14"/>
        <v>0.34342473139962154</v>
      </c>
      <c r="H50" s="14">
        <f t="shared" si="14"/>
        <v>0.32038120025390798</v>
      </c>
      <c r="I50" s="14">
        <f t="shared" si="14"/>
        <v>0.34848484848484851</v>
      </c>
      <c r="J50" s="14">
        <f t="shared" ref="J50" si="15">(J30/(J10+J11))</f>
        <v>0.33642261353104724</v>
      </c>
      <c r="O50" s="1"/>
    </row>
    <row r="51" spans="2:15" x14ac:dyDescent="0.45">
      <c r="H51" s="1"/>
      <c r="I51" s="1"/>
      <c r="J51" s="1"/>
      <c r="O51" s="1"/>
    </row>
    <row r="52" spans="2:15" x14ac:dyDescent="0.45">
      <c r="B52" s="1" t="s">
        <v>12</v>
      </c>
      <c r="C52" s="14" t="e">
        <f>((#REF!/(12/12))/C14)</f>
        <v>#REF!</v>
      </c>
      <c r="D52" s="36" t="e">
        <f>((#REF!/(12/12))/((D14+C14)/2))</f>
        <v>#REF!</v>
      </c>
      <c r="E52" s="14" t="e">
        <f>((#REF!/(12/12))/E14)</f>
        <v>#REF!</v>
      </c>
      <c r="F52" s="14" t="e">
        <f>((#REF!/(12/12))/F14)</f>
        <v>#REF!</v>
      </c>
      <c r="G52" s="14" t="e">
        <f>((#REF!/(12/12))/G14)</f>
        <v>#REF!</v>
      </c>
      <c r="H52" s="14" t="e">
        <f>((#REF!/(12/12))/H14)</f>
        <v>#REF!</v>
      </c>
      <c r="I52" s="14" t="e">
        <f>((#REF!/(12/12))/I14)</f>
        <v>#REF!</v>
      </c>
      <c r="J52" s="14" t="e">
        <f>((#REF!/(12/12))/J14)</f>
        <v>#REF!</v>
      </c>
      <c r="K52" s="1" t="s">
        <v>45</v>
      </c>
      <c r="O52" s="1"/>
    </row>
    <row r="53" spans="2:15" x14ac:dyDescent="0.45">
      <c r="B53" s="1" t="s">
        <v>13</v>
      </c>
      <c r="C53" s="62" t="e">
        <f>((#REF!/(12/12))/C30)</f>
        <v>#REF!</v>
      </c>
      <c r="D53" s="36" t="e">
        <f>((#REF!/(12/12))/((D30+C30)/2))</f>
        <v>#REF!</v>
      </c>
      <c r="E53" s="62" t="e">
        <f>((#REF!/(12/12))/E30)</f>
        <v>#REF!</v>
      </c>
      <c r="F53" s="62" t="e">
        <f>((#REF!/(12/12))/F30)</f>
        <v>#REF!</v>
      </c>
      <c r="G53" s="62" t="e">
        <f>((#REF!/(12/12))/G30)</f>
        <v>#REF!</v>
      </c>
      <c r="H53" s="62" t="e">
        <f>((#REF!/(12/12))/H30)</f>
        <v>#REF!</v>
      </c>
      <c r="I53" s="62" t="e">
        <f>((#REF!/(12/12))/I30)</f>
        <v>#REF!</v>
      </c>
      <c r="J53" s="62" t="e">
        <f>((#REF!/(12/12))/J30)</f>
        <v>#REF!</v>
      </c>
      <c r="O53" s="1"/>
    </row>
  </sheetData>
  <mergeCells count="13">
    <mergeCell ref="B1:L1"/>
    <mergeCell ref="B2:L2"/>
    <mergeCell ref="B3:L3"/>
    <mergeCell ref="B4:L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BLC IPACOOP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2025-03-11T20:04:02Z</cp:lastPrinted>
  <dcterms:created xsi:type="dcterms:W3CDTF">2016-11-01T16:45:10Z</dcterms:created>
  <dcterms:modified xsi:type="dcterms:W3CDTF">2025-03-31T15:14:29Z</dcterms:modified>
</cp:coreProperties>
</file>